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<sst xmlns="http://schemas.openxmlformats.org/spreadsheetml/2006/main" count="156" uniqueCount="111">
  <si>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</si>
  <si>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</si>
  <si>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</si>
  <si>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</si>
  <si>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</si>
  <si>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</si>
  <si>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</si>
  <si>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</si>
  <si>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</si>
  <si>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</si>
  <si>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</si>
  <si>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</si>
  <si>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</si>
  <si>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</si>
  <si>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</si>
  <si>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</si>
  <si>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</si>
  <si>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</si>
  <si>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</si>
  <si>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</si>
  <si>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</si>
  <si>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</si>
  <si>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</si>
  <si>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</si>
  <si>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</si>
  <si>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</si>
  <si>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</si>
  <si>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</si>
  <si>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</si>
  <si>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</si>
  <si>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</si>
  <si>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</si>
  <si>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</si>
  <si>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</si>
  <si>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</si>
  <si>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</si>
  <si>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</si>
  <si>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</si>
  <si>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</si>
  <si>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</si>
  <si>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</si>
  <si>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</si>
  <si>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</si>
  <si>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</si>
  <si>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</si>
  <si>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</si>
  <si>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</si>
  <si>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</si>
  <si>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</si>
  <si>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</si>
  <si>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</si>
  <si>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</si>
  <si>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</si>
  <si>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</si>
  <si>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</si>
  <si>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</si>
  <si>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</si>
  <si>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</si>
  <si>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</si>
  <si>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</si>
  <si>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</si>
  <si>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</si>
  <si>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</si>
  <si>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</si>
  <si>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</si>
  <si>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</si>
  <si>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</si>
  <si>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</si>
  <si>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</si>
  <si>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</si>
  <si>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</si>
  <si>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</si>
  <si>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</si>
  <si>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</si>
  <si>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</si>
  <si>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</si>
  <si>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</si>
  <si>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</si>
  <si>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</si>
  <si>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</si>
  <si>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</si>
  <si>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</si>
  <si>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</si>
  <si>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</si>
  <si>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</si>
  <si>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</si>
  <si>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</si>
  <si>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</si>
  <si>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</si>
  <si>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</si>
  <si>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</si>
  <si>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</si>
  <si>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</si>
  <si>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</si>
  <si>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</si>
  <si>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</si>
  <si>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</si>
  <si>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</si>
  <si>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</si>
  <si>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</si>
  <si>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</si>
  <si>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</si>
  <si>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</si>
  <si>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</si>
  <si>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</si>
  <si>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</si>
  <si>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</si>
  <si>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план на 4 місяці, тис.грн.</t>
  </si>
  <si>
    <t>Відсоток виконання плану 4-х місяців</t>
  </si>
  <si>
    <t>Відхилення від тимчасового плану 4-х місяців, тис.грн.</t>
  </si>
  <si>
    <t>Аналіз використання коштів міського бюджету за 2014 рік станом на 15.04.2014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</si>
</sst>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12053.3</c:v>
                </c:pt>
                <c:pt idx="1">
                  <c:v>10601.4</c:v>
                </c:pt>
                <c:pt idx="2">
                  <c:v>529.7</c:v>
                </c:pt>
                <c:pt idx="3">
                  <c:v>922.1999999999996</c:v>
                </c:pt>
              </c:numCache>
            </c:numRef>
          </c:val>
          <c:shape val="box"/>
        </c:ser>
        <c:shape val="box"/>
        <c:axId val="35162132"/>
        <c:axId val="48023733"/>
      </c:bar3DChart>
      <c:catAx>
        <c:axId val="3516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023733"/>
        <c:crosses val="autoZero"/>
        <c:auto val="1"/>
        <c:lblOffset val="100"/>
        <c:tickLblSkip val="1"/>
        <c:noMultiLvlLbl val="0"/>
      </c:catAx>
      <c:valAx>
        <c:axId val="48023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2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66076.90000000002</c:v>
                </c:pt>
                <c:pt idx="1">
                  <c:v>55124.00000000001</c:v>
                </c:pt>
                <c:pt idx="2">
                  <c:v>4.2</c:v>
                </c:pt>
                <c:pt idx="3">
                  <c:v>4631.700000000001</c:v>
                </c:pt>
                <c:pt idx="4">
                  <c:v>6171.8</c:v>
                </c:pt>
                <c:pt idx="5">
                  <c:v>28.7</c:v>
                </c:pt>
                <c:pt idx="6">
                  <c:v>116.50000000001437</c:v>
                </c:pt>
              </c:numCache>
            </c:numRef>
          </c:val>
          <c:shape val="box"/>
        </c:ser>
        <c:shape val="box"/>
        <c:axId val="29560414"/>
        <c:axId val="64717135"/>
      </c:bar3DChart>
      <c:catAx>
        <c:axId val="2956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17135"/>
        <c:crosses val="autoZero"/>
        <c:auto val="1"/>
        <c:lblOffset val="100"/>
        <c:tickLblSkip val="1"/>
        <c:noMultiLvlLbl val="0"/>
      </c:catAx>
      <c:valAx>
        <c:axId val="64717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604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7565.3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11832.700000000012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36193.9</c:v>
                </c:pt>
                <c:pt idx="1">
                  <c:v>29320.4</c:v>
                </c:pt>
                <c:pt idx="2">
                  <c:v>1024.2</c:v>
                </c:pt>
                <c:pt idx="3">
                  <c:v>494.3</c:v>
                </c:pt>
                <c:pt idx="4">
                  <c:v>2804.7</c:v>
                </c:pt>
                <c:pt idx="5">
                  <c:v>253.8</c:v>
                </c:pt>
                <c:pt idx="6">
                  <c:v>2296.5</c:v>
                </c:pt>
              </c:numCache>
            </c:numRef>
          </c:val>
          <c:shape val="box"/>
        </c:ser>
        <c:shape val="box"/>
        <c:axId val="45583304"/>
        <c:axId val="7596553"/>
      </c:bar3DChart>
      <c:catAx>
        <c:axId val="45583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96553"/>
        <c:crosses val="autoZero"/>
        <c:auto val="1"/>
        <c:lblOffset val="100"/>
        <c:tickLblSkip val="1"/>
        <c:noMultiLvlLbl val="0"/>
      </c:catAx>
      <c:valAx>
        <c:axId val="7596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833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7231.999999999999</c:v>
                </c:pt>
                <c:pt idx="1">
                  <c:v>5597.1</c:v>
                </c:pt>
                <c:pt idx="2">
                  <c:v>141.10000000000002</c:v>
                </c:pt>
                <c:pt idx="3">
                  <c:v>73.6</c:v>
                </c:pt>
                <c:pt idx="4">
                  <c:v>3.6</c:v>
                </c:pt>
                <c:pt idx="5">
                  <c:v>1416.599999999999</c:v>
                </c:pt>
              </c:numCache>
            </c:numRef>
          </c:val>
          <c:shape val="box"/>
        </c:ser>
        <c:shape val="box"/>
        <c:axId val="1260114"/>
        <c:axId val="11341027"/>
      </c:bar3DChart>
      <c:catAx>
        <c:axId val="126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41027"/>
        <c:crosses val="autoZero"/>
        <c:auto val="1"/>
        <c:lblOffset val="100"/>
        <c:tickLblSkip val="1"/>
        <c:noMultiLvlLbl val="0"/>
      </c:catAx>
      <c:valAx>
        <c:axId val="11341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0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2208</c:v>
                </c:pt>
                <c:pt idx="1">
                  <c:v>1536.5</c:v>
                </c:pt>
                <c:pt idx="3">
                  <c:v>22.6</c:v>
                </c:pt>
                <c:pt idx="4">
                  <c:v>53.3</c:v>
                </c:pt>
                <c:pt idx="5">
                  <c:v>595.6</c:v>
                </c:pt>
              </c:numCache>
            </c:numRef>
          </c:val>
          <c:shape val="box"/>
        </c:ser>
        <c:shape val="box"/>
        <c:axId val="34960380"/>
        <c:axId val="46207965"/>
      </c:bar3DChart>
      <c:catAx>
        <c:axId val="34960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07965"/>
        <c:crosses val="autoZero"/>
        <c:auto val="1"/>
        <c:lblOffset val="100"/>
        <c:tickLblSkip val="2"/>
        <c:noMultiLvlLbl val="0"/>
      </c:catAx>
      <c:valAx>
        <c:axId val="46207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603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500.1000000000001</c:v>
                </c:pt>
                <c:pt idx="1">
                  <c:v>401.30000000000007</c:v>
                </c:pt>
                <c:pt idx="2">
                  <c:v>74.7</c:v>
                </c:pt>
                <c:pt idx="4">
                  <c:v>24.10000000000001</c:v>
                </c:pt>
              </c:numCache>
            </c:numRef>
          </c:val>
          <c:shape val="box"/>
        </c:ser>
        <c:shape val="box"/>
        <c:axId val="13218502"/>
        <c:axId val="51857655"/>
      </c:bar3DChart>
      <c:catAx>
        <c:axId val="13218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57655"/>
        <c:crosses val="autoZero"/>
        <c:auto val="1"/>
        <c:lblOffset val="100"/>
        <c:tickLblSkip val="1"/>
        <c:noMultiLvlLbl val="0"/>
      </c:catAx>
      <c:valAx>
        <c:axId val="51857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185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10007.300000000001</c:v>
                </c:pt>
              </c:numCache>
            </c:numRef>
          </c:val>
          <c:shape val="box"/>
        </c:ser>
        <c:shape val="box"/>
        <c:axId val="64065712"/>
        <c:axId val="39720497"/>
      </c:bar3DChart>
      <c:catAx>
        <c:axId val="64065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720497"/>
        <c:crosses val="autoZero"/>
        <c:auto val="1"/>
        <c:lblOffset val="100"/>
        <c:tickLblSkip val="1"/>
        <c:noMultiLvlLbl val="0"/>
      </c:catAx>
      <c:valAx>
        <c:axId val="39720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657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50516.10000000001</c:v>
                </c:pt>
                <c:pt idx="1">
                  <c:v>36193.9</c:v>
                </c:pt>
                <c:pt idx="2">
                  <c:v>7231.999999999999</c:v>
                </c:pt>
                <c:pt idx="3">
                  <c:v>2208</c:v>
                </c:pt>
                <c:pt idx="4">
                  <c:v>500.1000000000001</c:v>
                </c:pt>
                <c:pt idx="5">
                  <c:v>8340.199999999999</c:v>
                </c:pt>
                <c:pt idx="6">
                  <c:v>10007.300000000001</c:v>
                </c:pt>
              </c:numCache>
            </c:numRef>
          </c:val>
          <c:shape val="box"/>
        </c:ser>
        <c:shape val="box"/>
        <c:axId val="21940154"/>
        <c:axId val="63243659"/>
      </c:bar3DChart>
      <c:catAx>
        <c:axId val="2194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43659"/>
        <c:crosses val="autoZero"/>
        <c:auto val="1"/>
        <c:lblOffset val="100"/>
        <c:tickLblSkip val="1"/>
        <c:noMultiLvlLbl val="0"/>
      </c:catAx>
      <c:valAx>
        <c:axId val="63243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01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64853.700000000004</c:v>
                </c:pt>
                <c:pt idx="2">
                  <c:v>20323.899999999998</c:v>
                </c:pt>
                <c:pt idx="3">
                  <c:v>7143.8</c:v>
                </c:pt>
                <c:pt idx="4">
                  <c:v>7620.6</c:v>
                </c:pt>
                <c:pt idx="5">
                  <c:v>89659.40000000007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89151.10000000002</c:v>
                </c:pt>
                <c:pt idx="1">
                  <c:v>6057.099999999999</c:v>
                </c:pt>
                <c:pt idx="2">
                  <c:v>4322.800000000001</c:v>
                </c:pt>
                <c:pt idx="3">
                  <c:v>1319.3000000000002</c:v>
                </c:pt>
                <c:pt idx="4">
                  <c:v>1024.7</c:v>
                </c:pt>
                <c:pt idx="5">
                  <c:v>18004.799999999996</c:v>
                </c:pt>
              </c:numCache>
            </c:numRef>
          </c:val>
          <c:shape val="box"/>
        </c:ser>
        <c:shape val="box"/>
        <c:axId val="32322020"/>
        <c:axId val="22462725"/>
      </c:bar3DChart>
      <c:catAx>
        <c:axId val="3232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62725"/>
        <c:crosses val="autoZero"/>
        <c:auto val="1"/>
        <c:lblOffset val="100"/>
        <c:tickLblSkip val="1"/>
        <c:noMultiLvlLbl val="0"/>
      </c:catAx>
      <c:valAx>
        <c:axId val="22462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220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3" sqref="D93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103</v>
      </c>
      <c r="D3" s="122" t="s">
        <v>29</v>
      </c>
      <c r="E3" s="122" t="s">
        <v>28</v>
      </c>
      <c r="F3" s="122" t="s">
        <v>108</v>
      </c>
      <c r="G3" s="122" t="s">
        <v>104</v>
      </c>
      <c r="H3" s="122" t="s">
        <v>109</v>
      </c>
      <c r="I3" s="122" t="s">
        <v>105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105303.2</v>
      </c>
      <c r="C6" s="56">
        <v>279531.5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</f>
        <v>66929.30000000002</v>
      </c>
      <c r="E6" s="3">
        <f>D6/D134*100</f>
        <v>42.84569307618394</v>
      </c>
      <c r="F6" s="3">
        <f>D6/B6*100</f>
        <v>63.558657286768124</v>
      </c>
      <c r="G6" s="3">
        <f aca="true" t="shared" si="0" ref="G6:G41">D6/C6*100</f>
        <v>23.943383840461635</v>
      </c>
      <c r="H6" s="3">
        <f>B6-D6</f>
        <v>38373.89999999998</v>
      </c>
      <c r="I6" s="3">
        <f aca="true" t="shared" si="1" ref="I6:I41">C6-D6</f>
        <v>212602.19999999998</v>
      </c>
    </row>
    <row r="7" spans="1:9" ht="18">
      <c r="A7" s="31" t="s">
        <v>3</v>
      </c>
      <c r="B7" s="52">
        <v>74150.5</v>
      </c>
      <c r="C7" s="53">
        <v>220378.6</v>
      </c>
      <c r="D7" s="54">
        <f>7985.1+61.4+9890.7+1.2+8129.6+806.2+1384.8+4074.5+2508.4-0.1+1256+5351+1046.8+1404.7+196.9+8063.3+1035+0.1+765.8+122.3+398.7+641.6+852.4</f>
        <v>55976.40000000001</v>
      </c>
      <c r="E7" s="1">
        <f>D7/D6*100</f>
        <v>83.63511944693877</v>
      </c>
      <c r="F7" s="1">
        <f>D7/B7*100</f>
        <v>75.4902529315379</v>
      </c>
      <c r="G7" s="1">
        <f t="shared" si="0"/>
        <v>25.400106906931985</v>
      </c>
      <c r="H7" s="1">
        <f>B7-D7</f>
        <v>18174.09999999999</v>
      </c>
      <c r="I7" s="1">
        <f t="shared" si="1"/>
        <v>164402.2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</f>
        <v>4.2</v>
      </c>
      <c r="E8" s="13">
        <f>D8/D6*100</f>
        <v>0.006275278540190917</v>
      </c>
      <c r="F8" s="1">
        <f>D8/B8*100</f>
        <v>17.948717948717952</v>
      </c>
      <c r="G8" s="1">
        <f t="shared" si="0"/>
        <v>9.417040358744394</v>
      </c>
      <c r="H8" s="1">
        <f aca="true" t="shared" si="2" ref="H8:H30">B8-D8</f>
        <v>19.2</v>
      </c>
      <c r="I8" s="1">
        <f t="shared" si="1"/>
        <v>40.4</v>
      </c>
    </row>
    <row r="9" spans="1:9" ht="18">
      <c r="A9" s="31" t="s">
        <v>1</v>
      </c>
      <c r="B9" s="52">
        <v>6705.6</v>
      </c>
      <c r="C9" s="53">
        <v>17103.7</v>
      </c>
      <c r="D9" s="58">
        <f>538.7+346.9+429.4+56.3+419.6+508.1+71-0.1+453.2+98.5+2.8+391.5+199.8+80.8+202.8+35.8+0.1+605.8+190.7</f>
        <v>4631.700000000001</v>
      </c>
      <c r="E9" s="1">
        <f>D9/D6*100</f>
        <v>6.920287527286255</v>
      </c>
      <c r="F9" s="1">
        <f aca="true" t="shared" si="3" ref="F9:F39">D9/B9*100</f>
        <v>69.07211882605584</v>
      </c>
      <c r="G9" s="1">
        <f t="shared" si="0"/>
        <v>27.08010547425411</v>
      </c>
      <c r="H9" s="1">
        <f t="shared" si="2"/>
        <v>2073.8999999999996</v>
      </c>
      <c r="I9" s="1">
        <f t="shared" si="1"/>
        <v>12472</v>
      </c>
    </row>
    <row r="10" spans="1:9" ht="18">
      <c r="A10" s="31" t="s">
        <v>0</v>
      </c>
      <c r="B10" s="52">
        <v>23706.1</v>
      </c>
      <c r="C10" s="53">
        <v>39445.5</v>
      </c>
      <c r="D10" s="59">
        <f>1.1+76.7+36.7+34.9+18.5+42.2+88.1+82.5+80.9+400.1+1837.5+2957.3+365.3+150</f>
        <v>6171.8</v>
      </c>
      <c r="E10" s="1">
        <f>D10/D6*100</f>
        <v>9.221372403416737</v>
      </c>
      <c r="F10" s="1">
        <f t="shared" si="3"/>
        <v>26.034649309671355</v>
      </c>
      <c r="G10" s="1">
        <f t="shared" si="0"/>
        <v>15.64639819497788</v>
      </c>
      <c r="H10" s="1">
        <f t="shared" si="2"/>
        <v>17534.3</v>
      </c>
      <c r="I10" s="1">
        <f t="shared" si="1"/>
        <v>33273.7</v>
      </c>
    </row>
    <row r="11" spans="1:9" ht="18">
      <c r="A11" s="31" t="s">
        <v>15</v>
      </c>
      <c r="B11" s="52">
        <v>45.2</v>
      </c>
      <c r="C11" s="53">
        <v>281.8</v>
      </c>
      <c r="D11" s="54">
        <f>4+4+12.7+4+4</f>
        <v>28.7</v>
      </c>
      <c r="E11" s="1">
        <f>D11/D6*100</f>
        <v>0.04288107002463793</v>
      </c>
      <c r="F11" s="1">
        <f t="shared" si="3"/>
        <v>63.49557522123893</v>
      </c>
      <c r="G11" s="1">
        <f t="shared" si="0"/>
        <v>10.184528034066712</v>
      </c>
      <c r="H11" s="1">
        <f t="shared" si="2"/>
        <v>16.500000000000004</v>
      </c>
      <c r="I11" s="1">
        <f t="shared" si="1"/>
        <v>253.10000000000002</v>
      </c>
    </row>
    <row r="12" spans="1:9" ht="18.75" thickBot="1">
      <c r="A12" s="31" t="s">
        <v>35</v>
      </c>
      <c r="B12" s="53">
        <f>B6-B7-B8-B9-B10-B11</f>
        <v>672.3999999999985</v>
      </c>
      <c r="C12" s="53">
        <f>C6-C7-C8-C9-C10-C11</f>
        <v>2277.299999999991</v>
      </c>
      <c r="D12" s="53">
        <f>D6-D7-D8-D9-D10-D11</f>
        <v>116.50000000000709</v>
      </c>
      <c r="E12" s="1">
        <f>D12/D6*100</f>
        <v>0.17406427379340147</v>
      </c>
      <c r="F12" s="1">
        <f t="shared" si="3"/>
        <v>17.325996430697106</v>
      </c>
      <c r="G12" s="1">
        <f t="shared" si="0"/>
        <v>5.115707197119727</v>
      </c>
      <c r="H12" s="1">
        <f t="shared" si="2"/>
        <v>555.8999999999915</v>
      </c>
      <c r="I12" s="1">
        <f t="shared" si="1"/>
        <v>2160.799999999984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69565</v>
      </c>
      <c r="C17" s="56">
        <v>176050.5</v>
      </c>
      <c r="D17" s="57">
        <f>5329.2+6976.4+310.1+0.1+574.9+417.4+5396.4+2+668.9+83+171.9+366.8+7074.6+0.1+0.1+821.2+7.6+8.6+0.9+5585.2+2.9+0.4+456.2+427.1+1512+1289.7+309.6+556.1+6698.2+0.1+627.6+100+38.4+187.4+237.9</f>
        <v>46238.99999999999</v>
      </c>
      <c r="E17" s="3">
        <f>D17/D134*100</f>
        <v>29.600518788477814</v>
      </c>
      <c r="F17" s="3">
        <f>D17/B17*100</f>
        <v>66.46877021490691</v>
      </c>
      <c r="G17" s="3">
        <f t="shared" si="0"/>
        <v>26.264622934896515</v>
      </c>
      <c r="H17" s="3">
        <f>B17-D17</f>
        <v>23326.000000000007</v>
      </c>
      <c r="I17" s="3">
        <f t="shared" si="1"/>
        <v>129811.5</v>
      </c>
    </row>
    <row r="18" spans="1:9" ht="18">
      <c r="A18" s="31" t="s">
        <v>5</v>
      </c>
      <c r="B18" s="52">
        <v>51031.2</v>
      </c>
      <c r="C18" s="53">
        <v>133077.8</v>
      </c>
      <c r="D18" s="54">
        <f>5127.2+6545.1+310.1+0.1+5190.4+6767.1+5380.4+556.1+6698.2+26.3</f>
        <v>36601</v>
      </c>
      <c r="E18" s="1">
        <f>D18/D17*100</f>
        <v>79.15612361859039</v>
      </c>
      <c r="F18" s="1">
        <f t="shared" si="3"/>
        <v>71.72278919562935</v>
      </c>
      <c r="G18" s="1">
        <f t="shared" si="0"/>
        <v>27.503460381821764</v>
      </c>
      <c r="H18" s="1">
        <f t="shared" si="2"/>
        <v>14430.199999999997</v>
      </c>
      <c r="I18" s="1">
        <f t="shared" si="1"/>
        <v>96476.79999999999</v>
      </c>
    </row>
    <row r="19" spans="1:9" ht="18">
      <c r="A19" s="31" t="s">
        <v>2</v>
      </c>
      <c r="B19" s="52">
        <v>2662.9</v>
      </c>
      <c r="C19" s="53">
        <f>7565.3-5.5</f>
        <v>7559.8</v>
      </c>
      <c r="D19" s="54">
        <f>15+99.7+173.8+0.6+107.5+22.1+0.5+193.8+202.2+7.6+0.9+0.4+198.3+0.9+0.9+95.5+0.1+279.3+38.4</f>
        <v>1437.5</v>
      </c>
      <c r="E19" s="1">
        <f>D19/D17*100</f>
        <v>3.108847509677978</v>
      </c>
      <c r="F19" s="1">
        <f t="shared" si="3"/>
        <v>53.98250028164783</v>
      </c>
      <c r="G19" s="1">
        <f t="shared" si="0"/>
        <v>19.01505330828858</v>
      </c>
      <c r="H19" s="1">
        <f t="shared" si="2"/>
        <v>1225.4</v>
      </c>
      <c r="I19" s="1">
        <f t="shared" si="1"/>
        <v>6122.3</v>
      </c>
    </row>
    <row r="20" spans="1:9" ht="18">
      <c r="A20" s="31" t="s">
        <v>1</v>
      </c>
      <c r="B20" s="52">
        <v>904.5</v>
      </c>
      <c r="C20" s="53">
        <v>2836.6</v>
      </c>
      <c r="D20" s="54">
        <f>50.7+162.6+43.4+2.3+47.2+1.8+59.1-0.1+62.8+64.5+13.9+16.6+5.7</f>
        <v>530.5</v>
      </c>
      <c r="E20" s="1">
        <f>D20/D17*100</f>
        <v>1.1472998983542033</v>
      </c>
      <c r="F20" s="1">
        <f t="shared" si="3"/>
        <v>58.65118850193477</v>
      </c>
      <c r="G20" s="1">
        <f t="shared" si="0"/>
        <v>18.70196714376366</v>
      </c>
      <c r="H20" s="1">
        <f t="shared" si="2"/>
        <v>374</v>
      </c>
      <c r="I20" s="1">
        <f t="shared" si="1"/>
        <v>2306.1</v>
      </c>
    </row>
    <row r="21" spans="1:9" ht="18">
      <c r="A21" s="31" t="s">
        <v>0</v>
      </c>
      <c r="B21" s="52">
        <v>8992.3</v>
      </c>
      <c r="C21" s="53">
        <v>19349.6</v>
      </c>
      <c r="D21" s="54">
        <f>36.6+15.7+3.3+2+290.1+4.1+24.2+41.8-0.1+460.8+0.9+2.5+257.9+361.7+1303.2+901+0.2+255.3+105.4</f>
        <v>4066.6</v>
      </c>
      <c r="E21" s="1">
        <f>D21/D17*100</f>
        <v>8.794740370682758</v>
      </c>
      <c r="F21" s="1">
        <f t="shared" si="3"/>
        <v>45.223135349132036</v>
      </c>
      <c r="G21" s="1">
        <f t="shared" si="0"/>
        <v>21.01645512051929</v>
      </c>
      <c r="H21" s="1">
        <f t="shared" si="2"/>
        <v>4925.699999999999</v>
      </c>
      <c r="I21" s="1">
        <f t="shared" si="1"/>
        <v>15282.999999999998</v>
      </c>
    </row>
    <row r="22" spans="1:9" ht="18">
      <c r="A22" s="31" t="s">
        <v>15</v>
      </c>
      <c r="B22" s="52">
        <v>482.9</v>
      </c>
      <c r="C22" s="53">
        <v>1388.5</v>
      </c>
      <c r="D22" s="54">
        <f>14.2+80.1+19.7+105+3.5+1.3+30+84.1+0.1+72.2</f>
        <v>410.2</v>
      </c>
      <c r="E22" s="1">
        <f>D22/D17*100</f>
        <v>0.8871299119790654</v>
      </c>
      <c r="F22" s="1">
        <f t="shared" si="3"/>
        <v>84.94512321391593</v>
      </c>
      <c r="G22" s="1">
        <f t="shared" si="0"/>
        <v>29.542671948145482</v>
      </c>
      <c r="H22" s="1">
        <f t="shared" si="2"/>
        <v>72.69999999999999</v>
      </c>
      <c r="I22" s="1">
        <f t="shared" si="1"/>
        <v>978.3</v>
      </c>
    </row>
    <row r="23" spans="1:9" ht="18.75" thickBot="1">
      <c r="A23" s="31" t="s">
        <v>35</v>
      </c>
      <c r="B23" s="53">
        <f>B17-B18-B19-B20-B21-B22</f>
        <v>5491.200000000004</v>
      </c>
      <c r="C23" s="53">
        <f>C17-C18-C19-C20-C21-C22</f>
        <v>11838.200000000012</v>
      </c>
      <c r="D23" s="53">
        <f>D17-D18-D19-D20-D21-D22</f>
        <v>3193.199999999993</v>
      </c>
      <c r="E23" s="1">
        <f>D23/D17*100</f>
        <v>6.9058586907156165</v>
      </c>
      <c r="F23" s="1">
        <f t="shared" si="3"/>
        <v>58.1512237762236</v>
      </c>
      <c r="G23" s="1">
        <f t="shared" si="0"/>
        <v>26.97369532530275</v>
      </c>
      <c r="H23" s="1">
        <f t="shared" si="2"/>
        <v>2298.0000000000114</v>
      </c>
      <c r="I23" s="1">
        <f t="shared" si="1"/>
        <v>8645.000000000018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13080.9</v>
      </c>
      <c r="C31" s="56">
        <v>38286.9</v>
      </c>
      <c r="D31" s="60">
        <f>1347.1+62.9+5.5+1121.1+3+1.1+2.6+0.1+234+6+147.2+4.6+1039.4+104.2+50.8+0.5+110.9+1079.5+38+332+67.8+22.1+92.4+1134.6+86.2+65+3.4+18.4+51.6+1048-0.1+145.6+230.7+127.5+86.7+1163.9</f>
        <v>10034.300000000001</v>
      </c>
      <c r="E31" s="3">
        <f>D31/D134*100</f>
        <v>6.423592328537015</v>
      </c>
      <c r="F31" s="3">
        <f>D31/B31*100</f>
        <v>76.70955362398612</v>
      </c>
      <c r="G31" s="3">
        <f t="shared" si="0"/>
        <v>26.208180866040344</v>
      </c>
      <c r="H31" s="3">
        <f aca="true" t="shared" si="4" ref="H31:H41">B31-D31</f>
        <v>3046.5999999999985</v>
      </c>
      <c r="I31" s="3">
        <f t="shared" si="1"/>
        <v>28252.6</v>
      </c>
    </row>
    <row r="32" spans="1:9" ht="18">
      <c r="A32" s="31" t="s">
        <v>3</v>
      </c>
      <c r="B32" s="52">
        <v>9069.2</v>
      </c>
      <c r="C32" s="53">
        <v>28976.1</v>
      </c>
      <c r="D32" s="54">
        <f>1119.5+1121.1+1039.4+104.2+1079.5+1133.4+1048+1163.9</f>
        <v>7809</v>
      </c>
      <c r="E32" s="1">
        <f>D32/D31*100</f>
        <v>77.82306688059954</v>
      </c>
      <c r="F32" s="1">
        <f t="shared" si="3"/>
        <v>86.10461782737175</v>
      </c>
      <c r="G32" s="1">
        <f t="shared" si="0"/>
        <v>26.949796556472407</v>
      </c>
      <c r="H32" s="1">
        <f t="shared" si="4"/>
        <v>1260.2000000000007</v>
      </c>
      <c r="I32" s="1">
        <f t="shared" si="1"/>
        <v>21167.1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955</v>
      </c>
      <c r="C34" s="53">
        <v>1732.8</v>
      </c>
      <c r="D34" s="54">
        <f>1+2.5+0.8+6+1.4+0.1+11.2+0.5+6.3-0.2+32.4+6.9+2.4+3.4+18.4+48+143.7</f>
        <v>284.8</v>
      </c>
      <c r="E34" s="1">
        <f>D34/D31*100</f>
        <v>2.8382647519009794</v>
      </c>
      <c r="F34" s="1">
        <f t="shared" si="3"/>
        <v>29.82198952879581</v>
      </c>
      <c r="G34" s="1">
        <f t="shared" si="0"/>
        <v>16.43582640812558</v>
      </c>
      <c r="H34" s="1">
        <f t="shared" si="4"/>
        <v>670.2</v>
      </c>
      <c r="I34" s="1">
        <f t="shared" si="1"/>
        <v>1448</v>
      </c>
    </row>
    <row r="35" spans="1:9" s="47" customFormat="1" ht="18.75">
      <c r="A35" s="25" t="s">
        <v>7</v>
      </c>
      <c r="B35" s="61">
        <v>218.6</v>
      </c>
      <c r="C35" s="62">
        <v>715.3</v>
      </c>
      <c r="D35" s="63">
        <f>38.5+5.5+3+4.5+22.1+25.5</f>
        <v>99.1</v>
      </c>
      <c r="E35" s="21">
        <f>D35/D31*100</f>
        <v>0.9876124891621737</v>
      </c>
      <c r="F35" s="21">
        <f t="shared" si="3"/>
        <v>45.33394327538884</v>
      </c>
      <c r="G35" s="21">
        <f t="shared" si="0"/>
        <v>13.85432685586467</v>
      </c>
      <c r="H35" s="21">
        <f t="shared" si="4"/>
        <v>119.5</v>
      </c>
      <c r="I35" s="21">
        <f t="shared" si="1"/>
        <v>616.1999999999999</v>
      </c>
    </row>
    <row r="36" spans="1:9" ht="18">
      <c r="A36" s="31" t="s">
        <v>15</v>
      </c>
      <c r="B36" s="52">
        <v>34.4</v>
      </c>
      <c r="C36" s="53">
        <v>45.2</v>
      </c>
      <c r="D36" s="53">
        <f>3.6+3.6</f>
        <v>7.2</v>
      </c>
      <c r="E36" s="1">
        <f>D36/D31*100</f>
        <v>0.07175388417727195</v>
      </c>
      <c r="F36" s="1">
        <f t="shared" si="3"/>
        <v>20.930232558139537</v>
      </c>
      <c r="G36" s="1">
        <f t="shared" si="0"/>
        <v>15.929203539823009</v>
      </c>
      <c r="H36" s="1">
        <f t="shared" si="4"/>
        <v>27.2</v>
      </c>
      <c r="I36" s="1">
        <f t="shared" si="1"/>
        <v>38</v>
      </c>
    </row>
    <row r="37" spans="1:9" ht="18.75" thickBot="1">
      <c r="A37" s="31" t="s">
        <v>35</v>
      </c>
      <c r="B37" s="52">
        <f>B31-B32-B34-B35-B33-B36</f>
        <v>2803.699999999999</v>
      </c>
      <c r="C37" s="52">
        <f>C31-C32-C34-C35-C33-C36</f>
        <v>6817.500000000003</v>
      </c>
      <c r="D37" s="52">
        <f>D31-D32-D34-D35-D33-D36</f>
        <v>1834.2000000000012</v>
      </c>
      <c r="E37" s="1">
        <f>D37/D31*100</f>
        <v>18.27930199416004</v>
      </c>
      <c r="F37" s="1">
        <f t="shared" si="3"/>
        <v>65.4206940828192</v>
      </c>
      <c r="G37" s="1">
        <f t="shared" si="0"/>
        <v>26.90429042904291</v>
      </c>
      <c r="H37" s="1">
        <f>B37-D37</f>
        <v>969.4999999999977</v>
      </c>
      <c r="I37" s="1">
        <f t="shared" si="1"/>
        <v>4983.300000000001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370.4</v>
      </c>
      <c r="C41" s="56">
        <v>1079.9</v>
      </c>
      <c r="D41" s="57">
        <f>39.9+10-0.1+63.8+32.1+23.9</f>
        <v>169.6</v>
      </c>
      <c r="E41" s="3">
        <f>D41/D134*100</f>
        <v>0.10857172487566422</v>
      </c>
      <c r="F41" s="3">
        <f>D41/B41*100</f>
        <v>45.78833693304536</v>
      </c>
      <c r="G41" s="3">
        <f t="shared" si="0"/>
        <v>15.70515788498935</v>
      </c>
      <c r="H41" s="3">
        <f t="shared" si="4"/>
        <v>200.79999999999998</v>
      </c>
      <c r="I41" s="3">
        <f t="shared" si="1"/>
        <v>910.3000000000001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1956.8</v>
      </c>
      <c r="C43" s="56">
        <v>6105.1</v>
      </c>
      <c r="D43" s="57">
        <f>179.7+225.2+3.4+199.4+211.8+7.4+5.4+7.6+190.5+3.4+230.5+100.1+236.3</f>
        <v>1600.7</v>
      </c>
      <c r="E43" s="3">
        <f>D43/D134*100</f>
        <v>1.0247096698612956</v>
      </c>
      <c r="F43" s="3">
        <f>D43/B43*100</f>
        <v>81.80192150449714</v>
      </c>
      <c r="G43" s="3">
        <f aca="true" t="shared" si="5" ref="G43:G73">D43/C43*100</f>
        <v>26.219062750814892</v>
      </c>
      <c r="H43" s="3">
        <f>B43-D43</f>
        <v>356.0999999999999</v>
      </c>
      <c r="I43" s="3">
        <f aca="true" t="shared" si="6" ref="I43:I74">C43-D43</f>
        <v>4504.400000000001</v>
      </c>
    </row>
    <row r="44" spans="1:9" ht="18">
      <c r="A44" s="31" t="s">
        <v>3</v>
      </c>
      <c r="B44" s="52">
        <v>1681.1</v>
      </c>
      <c r="C44" s="53">
        <v>5484.1</v>
      </c>
      <c r="D44" s="54">
        <f>179.7+201.3+187+211.8+190.5+230.5+236.3</f>
        <v>1437.1</v>
      </c>
      <c r="E44" s="1">
        <f>D44/D43*100</f>
        <v>89.77947148122696</v>
      </c>
      <c r="F44" s="1">
        <f aca="true" t="shared" si="7" ref="F44:F71">D44/B44*100</f>
        <v>85.48569389090477</v>
      </c>
      <c r="G44" s="1">
        <f t="shared" si="5"/>
        <v>26.20484673875385</v>
      </c>
      <c r="H44" s="1">
        <f aca="true" t="shared" si="8" ref="H44:H71">B44-D44</f>
        <v>244</v>
      </c>
      <c r="I44" s="1">
        <f t="shared" si="6"/>
        <v>4047.0000000000005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10.7</v>
      </c>
      <c r="C46" s="53">
        <v>35.1</v>
      </c>
      <c r="D46" s="54">
        <f>3.2+3.4-0.1</f>
        <v>6.5</v>
      </c>
      <c r="E46" s="1">
        <f>D46/D43*100</f>
        <v>0.4060723433497845</v>
      </c>
      <c r="F46" s="1">
        <f t="shared" si="7"/>
        <v>60.74766355140188</v>
      </c>
      <c r="G46" s="1">
        <f t="shared" si="5"/>
        <v>18.51851851851852</v>
      </c>
      <c r="H46" s="1">
        <f t="shared" si="8"/>
        <v>4.199999999999999</v>
      </c>
      <c r="I46" s="1">
        <f t="shared" si="6"/>
        <v>28.6</v>
      </c>
    </row>
    <row r="47" spans="1:9" ht="18">
      <c r="A47" s="31" t="s">
        <v>0</v>
      </c>
      <c r="B47" s="52">
        <v>204.5</v>
      </c>
      <c r="C47" s="53">
        <v>358</v>
      </c>
      <c r="D47" s="54">
        <f>23.1+2.7+0.5+0.4+5.2+0.6+99.9</f>
        <v>132.4</v>
      </c>
      <c r="E47" s="1">
        <f>D47/D43*100</f>
        <v>8.271381270694071</v>
      </c>
      <c r="F47" s="1">
        <f t="shared" si="7"/>
        <v>64.74327628361858</v>
      </c>
      <c r="G47" s="1">
        <f t="shared" si="5"/>
        <v>36.98324022346369</v>
      </c>
      <c r="H47" s="1">
        <f t="shared" si="8"/>
        <v>72.1</v>
      </c>
      <c r="I47" s="1">
        <f t="shared" si="6"/>
        <v>225.6</v>
      </c>
    </row>
    <row r="48" spans="1:9" ht="18.75" thickBot="1">
      <c r="A48" s="31" t="s">
        <v>35</v>
      </c>
      <c r="B48" s="53">
        <f>B43-B44-B47-B46-B45</f>
        <v>59.90000000000004</v>
      </c>
      <c r="C48" s="53">
        <f>C43-C44-C47-C46-C45</f>
        <v>226.9</v>
      </c>
      <c r="D48" s="53">
        <f>D43-D44-D47-D46-D45</f>
        <v>24.70000000000013</v>
      </c>
      <c r="E48" s="1">
        <f>D48/D43*100</f>
        <v>1.5430749047291892</v>
      </c>
      <c r="F48" s="1">
        <f t="shared" si="7"/>
        <v>41.235392320534416</v>
      </c>
      <c r="G48" s="1">
        <f t="shared" si="5"/>
        <v>10.885852798589744</v>
      </c>
      <c r="H48" s="1">
        <f t="shared" si="8"/>
        <v>35.19999999999991</v>
      </c>
      <c r="I48" s="1">
        <f t="shared" si="6"/>
        <v>202.19999999999987</v>
      </c>
    </row>
    <row r="49" spans="1:9" ht="18.75" thickBot="1">
      <c r="A49" s="30" t="s">
        <v>4</v>
      </c>
      <c r="B49" s="55">
        <v>4149.9</v>
      </c>
      <c r="C49" s="56">
        <v>12054.8</v>
      </c>
      <c r="D49" s="57">
        <f>282.8+343.5+104.6+27.4+31.1+70.8+315.1+27.8+66.3+5+25+425.5+95.6+8.8+334.8+43.9+50.2+364.8+68.9-0.1+79.4+50+73.4+231.6+28.9</f>
        <v>3155.1000000000004</v>
      </c>
      <c r="E49" s="3">
        <f>D49/D134*100</f>
        <v>2.019779770962313</v>
      </c>
      <c r="F49" s="3">
        <f>D49/B49*100</f>
        <v>76.02833803224176</v>
      </c>
      <c r="G49" s="3">
        <f t="shared" si="5"/>
        <v>26.17297673955603</v>
      </c>
      <c r="H49" s="3">
        <f>B49-D49</f>
        <v>994.7999999999993</v>
      </c>
      <c r="I49" s="3">
        <f t="shared" si="6"/>
        <v>8899.699999999999</v>
      </c>
    </row>
    <row r="50" spans="1:9" ht="18">
      <c r="A50" s="31" t="s">
        <v>3</v>
      </c>
      <c r="B50" s="52">
        <v>2552.9</v>
      </c>
      <c r="C50" s="53">
        <v>7727</v>
      </c>
      <c r="D50" s="54">
        <f>282.8+343.5+279.8+360.5+269.9+364.8-0.1+7.2+231.6+28.9</f>
        <v>2168.9</v>
      </c>
      <c r="E50" s="1">
        <f>D50/D49*100</f>
        <v>68.74267059681151</v>
      </c>
      <c r="F50" s="1">
        <f t="shared" si="7"/>
        <v>84.95828273727918</v>
      </c>
      <c r="G50" s="1">
        <f t="shared" si="5"/>
        <v>28.06910832147017</v>
      </c>
      <c r="H50" s="1">
        <f t="shared" si="8"/>
        <v>384</v>
      </c>
      <c r="I50" s="1">
        <f t="shared" si="6"/>
        <v>5558.1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102.3</v>
      </c>
      <c r="C52" s="53">
        <v>325</v>
      </c>
      <c r="D52" s="54">
        <f>2.4+4.2+4.2+8.7+3.1+5.2-0.1+2.3</f>
        <v>30</v>
      </c>
      <c r="E52" s="1">
        <f>D52/D49*100</f>
        <v>0.9508414947228295</v>
      </c>
      <c r="F52" s="1">
        <f t="shared" si="7"/>
        <v>29.32551319648094</v>
      </c>
      <c r="G52" s="1">
        <f t="shared" si="5"/>
        <v>9.230769230769232</v>
      </c>
      <c r="H52" s="1">
        <f t="shared" si="8"/>
        <v>72.3</v>
      </c>
      <c r="I52" s="1">
        <f t="shared" si="6"/>
        <v>295</v>
      </c>
    </row>
    <row r="53" spans="1:9" ht="18">
      <c r="A53" s="31" t="s">
        <v>0</v>
      </c>
      <c r="B53" s="52">
        <v>251.3</v>
      </c>
      <c r="C53" s="53">
        <v>534.1</v>
      </c>
      <c r="D53" s="54">
        <f>6+11+5+10.4+0.1+20.8+16+0.1+76.5</f>
        <v>145.89999999999998</v>
      </c>
      <c r="E53" s="1">
        <f>D53/D49*100</f>
        <v>4.624259136002027</v>
      </c>
      <c r="F53" s="1">
        <f t="shared" si="7"/>
        <v>58.05809789096696</v>
      </c>
      <c r="G53" s="1">
        <f t="shared" si="5"/>
        <v>27.316981838606996</v>
      </c>
      <c r="H53" s="1">
        <f t="shared" si="8"/>
        <v>105.40000000000003</v>
      </c>
      <c r="I53" s="1">
        <f t="shared" si="6"/>
        <v>388.20000000000005</v>
      </c>
    </row>
    <row r="54" spans="1:9" ht="18.75" thickBot="1">
      <c r="A54" s="31" t="s">
        <v>35</v>
      </c>
      <c r="B54" s="53">
        <f>B49-B50-B53-B52-B51</f>
        <v>1243.3999999999996</v>
      </c>
      <c r="C54" s="53">
        <f>C49-C50-C53-C52-C51</f>
        <v>3458.9999999999995</v>
      </c>
      <c r="D54" s="53">
        <f>D49-D50-D53-D52-D51</f>
        <v>810.3000000000003</v>
      </c>
      <c r="E54" s="1">
        <f>D54/D49*100</f>
        <v>25.682228772463638</v>
      </c>
      <c r="F54" s="1">
        <f t="shared" si="7"/>
        <v>65.16808750201066</v>
      </c>
      <c r="G54" s="1">
        <f t="shared" si="5"/>
        <v>23.425845620121432</v>
      </c>
      <c r="H54" s="1">
        <f t="shared" si="8"/>
        <v>433.09999999999934</v>
      </c>
      <c r="I54" s="1">
        <f>C54-D54</f>
        <v>2648.6999999999994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946.7</v>
      </c>
      <c r="C56" s="56">
        <v>3908.9</v>
      </c>
      <c r="D56" s="57">
        <f>128-60.9+102.5+11.8+75.2+16.7+4.5+87.9+0.1+68.6+30.5+35.2+2.4+30+93-9.8+0.1+1.7+68.5</f>
        <v>686.0000000000001</v>
      </c>
      <c r="E56" s="3">
        <f>D56/D134*100</f>
        <v>0.43915214189095325</v>
      </c>
      <c r="F56" s="3">
        <f>D56/B56*100</f>
        <v>72.46223724516743</v>
      </c>
      <c r="G56" s="3">
        <f t="shared" si="5"/>
        <v>17.549694287395432</v>
      </c>
      <c r="H56" s="3">
        <f>B56-D56</f>
        <v>260.69999999999993</v>
      </c>
      <c r="I56" s="3">
        <f t="shared" si="6"/>
        <v>3222.9</v>
      </c>
    </row>
    <row r="57" spans="1:9" ht="18">
      <c r="A57" s="31" t="s">
        <v>3</v>
      </c>
      <c r="B57" s="52">
        <v>758.9</v>
      </c>
      <c r="C57" s="53">
        <v>2589.6</v>
      </c>
      <c r="D57" s="54">
        <f>128-60.9+102.5+75.2+87.9+68.6+30+93+68.5</f>
        <v>592.8000000000001</v>
      </c>
      <c r="E57" s="1">
        <f>D57/D56*100</f>
        <v>86.41399416909621</v>
      </c>
      <c r="F57" s="1">
        <f t="shared" si="7"/>
        <v>78.11305837396233</v>
      </c>
      <c r="G57" s="1">
        <f t="shared" si="5"/>
        <v>22.891566265060245</v>
      </c>
      <c r="H57" s="1">
        <f t="shared" si="8"/>
        <v>166.0999999999999</v>
      </c>
      <c r="I57" s="1">
        <f t="shared" si="6"/>
        <v>1996.7999999999997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146.7</v>
      </c>
      <c r="C59" s="53">
        <v>297.4</v>
      </c>
      <c r="D59" s="54">
        <f>4.5+4.5+30.5+35.2</f>
        <v>74.7</v>
      </c>
      <c r="E59" s="1">
        <f>D59/D56*100</f>
        <v>10.889212827988338</v>
      </c>
      <c r="F59" s="1">
        <f t="shared" si="7"/>
        <v>50.92024539877301</v>
      </c>
      <c r="G59" s="1">
        <f t="shared" si="5"/>
        <v>25.117686617350373</v>
      </c>
      <c r="H59" s="1">
        <f t="shared" si="8"/>
        <v>71.99999999999999</v>
      </c>
      <c r="I59" s="1">
        <f t="shared" si="6"/>
        <v>222.7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18" t="e">
        <f t="shared" si="7"/>
        <v>#DIV/0!</v>
      </c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41.10000000000008</v>
      </c>
      <c r="C61" s="53">
        <f>C56-C57-C59-C60-C58</f>
        <v>293.20000000000016</v>
      </c>
      <c r="D61" s="53">
        <f>D56-D57-D59-D60-D58</f>
        <v>18.500000000000043</v>
      </c>
      <c r="E61" s="1">
        <f>D61/D56*100</f>
        <v>2.6967930029154576</v>
      </c>
      <c r="F61" s="1">
        <f t="shared" si="7"/>
        <v>45.01216545012167</v>
      </c>
      <c r="G61" s="1">
        <f t="shared" si="5"/>
        <v>6.309686221009561</v>
      </c>
      <c r="H61" s="1">
        <f t="shared" si="8"/>
        <v>22.600000000000037</v>
      </c>
      <c r="I61" s="1">
        <f t="shared" si="6"/>
        <v>274.7000000000001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138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138</v>
      </c>
      <c r="I66" s="3">
        <f t="shared" si="6"/>
        <v>460</v>
      </c>
    </row>
    <row r="67" spans="1:9" ht="18">
      <c r="A67" s="31" t="s">
        <v>8</v>
      </c>
      <c r="B67" s="52">
        <v>55.9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55.9</v>
      </c>
      <c r="I67" s="1">
        <f t="shared" si="6"/>
        <v>257.4</v>
      </c>
    </row>
    <row r="68" spans="1:9" ht="18.75" thickBot="1">
      <c r="A68" s="31" t="s">
        <v>9</v>
      </c>
      <c r="B68" s="52">
        <v>82.1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82.1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133.3</v>
      </c>
      <c r="C74" s="72">
        <v>400</v>
      </c>
      <c r="D74" s="73"/>
      <c r="E74" s="51"/>
      <c r="F74" s="51"/>
      <c r="G74" s="51"/>
      <c r="H74" s="51">
        <f>B74-D74</f>
        <v>133.3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15763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</f>
        <v>12140.599999999999</v>
      </c>
      <c r="E87" s="3">
        <f>D87/D134*100</f>
        <v>7.771968649914439</v>
      </c>
      <c r="F87" s="3">
        <f aca="true" t="shared" si="11" ref="F87:F92">D87/B87*100</f>
        <v>77.01960286747446</v>
      </c>
      <c r="G87" s="3">
        <f t="shared" si="9"/>
        <v>27.089636829374957</v>
      </c>
      <c r="H87" s="3">
        <f aca="true" t="shared" si="12" ref="H87:H92">B87-D87</f>
        <v>3622.4000000000015</v>
      </c>
      <c r="I87" s="3">
        <f t="shared" si="10"/>
        <v>32675.800000000003</v>
      </c>
    </row>
    <row r="88" spans="1:9" ht="18">
      <c r="A88" s="31" t="s">
        <v>3</v>
      </c>
      <c r="B88" s="52">
        <v>12742.6</v>
      </c>
      <c r="C88" s="53">
        <v>38623.9</v>
      </c>
      <c r="D88" s="54">
        <f>3.8+55.8+877.5+206+1.6+755.1+834.4+26.6+41.3+1268.7+0.5+8.5+536.6+685.6+565+6.3-0.1+21.4+100.1+302.4+492.5+445.4+29.6+0.1+201.4+262.7+1370.2+24.4-0.1+35.6+18.8+8.4+764.2+651.1+17.3</f>
        <v>10618.699999999999</v>
      </c>
      <c r="E88" s="1">
        <f>D88/D87*100</f>
        <v>87.46437573101824</v>
      </c>
      <c r="F88" s="1">
        <f t="shared" si="11"/>
        <v>83.33228697440082</v>
      </c>
      <c r="G88" s="1">
        <f t="shared" si="9"/>
        <v>27.492562894995064</v>
      </c>
      <c r="H88" s="1">
        <f t="shared" si="12"/>
        <v>2123.9000000000015</v>
      </c>
      <c r="I88" s="1">
        <f t="shared" si="10"/>
        <v>28005.200000000004</v>
      </c>
    </row>
    <row r="89" spans="1:9" ht="18">
      <c r="A89" s="31" t="s">
        <v>33</v>
      </c>
      <c r="B89" s="52">
        <v>944.8</v>
      </c>
      <c r="C89" s="53">
        <v>1866.3</v>
      </c>
      <c r="D89" s="54">
        <f>125+55.5+51.3+1.7-0.1+10.4+5.3+280.6</f>
        <v>529.7</v>
      </c>
      <c r="E89" s="1">
        <f>D89/D87*100</f>
        <v>4.363046307431265</v>
      </c>
      <c r="F89" s="1">
        <f t="shared" si="11"/>
        <v>56.06477561388654</v>
      </c>
      <c r="G89" s="1">
        <f t="shared" si="9"/>
        <v>28.38236082087553</v>
      </c>
      <c r="H89" s="1">
        <f t="shared" si="12"/>
        <v>415.0999999999999</v>
      </c>
      <c r="I89" s="1">
        <f t="shared" si="10"/>
        <v>1336.6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2075.5999999999995</v>
      </c>
      <c r="C91" s="53">
        <f>C87-C88-C89-C90</f>
        <v>4326.2</v>
      </c>
      <c r="D91" s="53">
        <f>D87-D88-D89-D90</f>
        <v>992.1999999999996</v>
      </c>
      <c r="E91" s="1">
        <f>D91/D87*100</f>
        <v>8.172577961550498</v>
      </c>
      <c r="F91" s="1">
        <f t="shared" si="11"/>
        <v>47.803044902678735</v>
      </c>
      <c r="G91" s="1">
        <f>D91/C91*100</f>
        <v>22.934677083814886</v>
      </c>
      <c r="H91" s="1">
        <f t="shared" si="12"/>
        <v>1083.3999999999999</v>
      </c>
      <c r="I91" s="1">
        <f>C91-D91</f>
        <v>3334</v>
      </c>
    </row>
    <row r="92" spans="1:9" ht="19.5" thickBot="1">
      <c r="A92" s="15" t="s">
        <v>12</v>
      </c>
      <c r="B92" s="64">
        <v>13718</v>
      </c>
      <c r="C92" s="75">
        <v>39290.3</v>
      </c>
      <c r="D92" s="57">
        <f>2618.9+2514.7+108.2+3415.7+1160.5+185.2+4.1+84.7+287.5+200+100+150</f>
        <v>10829.500000000002</v>
      </c>
      <c r="E92" s="3">
        <f>D92/D134*100</f>
        <v>6.93265032158612</v>
      </c>
      <c r="F92" s="3">
        <f t="shared" si="11"/>
        <v>78.94372357486516</v>
      </c>
      <c r="G92" s="3">
        <f>D92/C92*100</f>
        <v>27.56278267154998</v>
      </c>
      <c r="H92" s="3">
        <f t="shared" si="12"/>
        <v>2888.499999999998</v>
      </c>
      <c r="I92" s="3">
        <f>C92-D92</f>
        <v>28460.800000000003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2132.8</v>
      </c>
      <c r="C98" s="110">
        <v>5290.2</v>
      </c>
      <c r="D98" s="94">
        <f>111.6+19.4+112.6-0.1+0.9+99.9+111.6+6.9+7.2+47.9+73.3+25.9+28.7+425.6+10.7+10.8+95.5+241.7</f>
        <v>1430.1000000000001</v>
      </c>
      <c r="E98" s="27">
        <f>D98/D134*100</f>
        <v>0.915497781513487</v>
      </c>
      <c r="F98" s="27">
        <f>D98/B98*100</f>
        <v>67.0527006751688</v>
      </c>
      <c r="G98" s="27">
        <f aca="true" t="shared" si="13" ref="G98:G111">D98/C98*100</f>
        <v>27.033004423273226</v>
      </c>
      <c r="H98" s="27">
        <f>B98-D98</f>
        <v>702.7</v>
      </c>
      <c r="I98" s="27">
        <f aca="true" t="shared" si="14" ref="I98:I132">C98-D98</f>
        <v>3860.0999999999995</v>
      </c>
    </row>
    <row r="99" spans="1:9" ht="18">
      <c r="A99" s="95" t="s">
        <v>66</v>
      </c>
      <c r="B99" s="105">
        <v>17.5</v>
      </c>
      <c r="C99" s="103">
        <v>23.5</v>
      </c>
      <c r="D99" s="103"/>
      <c r="E99" s="99">
        <f>D99/D98*100</f>
        <v>0</v>
      </c>
      <c r="F99" s="1">
        <f>D99/B99*100</f>
        <v>0</v>
      </c>
      <c r="G99" s="99">
        <f>D99/C99*100</f>
        <v>0</v>
      </c>
      <c r="H99" s="99">
        <f>B99-D99</f>
        <v>17.5</v>
      </c>
      <c r="I99" s="99">
        <f t="shared" si="14"/>
        <v>23.5</v>
      </c>
    </row>
    <row r="100" spans="1:9" ht="18">
      <c r="A100" s="101" t="s">
        <v>65</v>
      </c>
      <c r="B100" s="85">
        <v>1933.3</v>
      </c>
      <c r="C100" s="54">
        <f>4699.6+1.8</f>
        <v>4701.400000000001</v>
      </c>
      <c r="D100" s="54">
        <f>111.4+112.6+0.9+99.8+111.4+47.6+73.3-0.9+24.7+28.7+415.6+4.4+7.7+94.7+205.4</f>
        <v>1337.3000000000004</v>
      </c>
      <c r="E100" s="1">
        <f>D100/D98*100</f>
        <v>93.510943290679</v>
      </c>
      <c r="F100" s="1">
        <f aca="true" t="shared" si="15" ref="F100:F132">D100/B100*100</f>
        <v>69.17188227383232</v>
      </c>
      <c r="G100" s="1">
        <f t="shared" si="13"/>
        <v>28.444718594461232</v>
      </c>
      <c r="H100" s="1">
        <f>B100-D100</f>
        <v>595.9999999999995</v>
      </c>
      <c r="I100" s="1">
        <f t="shared" si="14"/>
        <v>3364.1000000000004</v>
      </c>
    </row>
    <row r="101" spans="1:9" ht="18.75" thickBot="1">
      <c r="A101" s="102" t="s">
        <v>35</v>
      </c>
      <c r="B101" s="104">
        <f>B98-B99-B100</f>
        <v>182.00000000000023</v>
      </c>
      <c r="C101" s="104">
        <f>C98-C99-C100</f>
        <v>565.2999999999993</v>
      </c>
      <c r="D101" s="104">
        <f>D98-D99-D100</f>
        <v>92.79999999999973</v>
      </c>
      <c r="E101" s="100">
        <f>D101/D98*100</f>
        <v>6.489056709321008</v>
      </c>
      <c r="F101" s="100">
        <f t="shared" si="15"/>
        <v>50.98901098901077</v>
      </c>
      <c r="G101" s="100">
        <f t="shared" si="13"/>
        <v>16.41606226782237</v>
      </c>
      <c r="H101" s="100">
        <f>B101-D101</f>
        <v>89.2000000000005</v>
      </c>
      <c r="I101" s="100">
        <f t="shared" si="14"/>
        <v>472.49999999999955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5924.700000000002</v>
      </c>
      <c r="C102" s="97">
        <f>SUM(C103:C131)-C110-C114+C132-C127-C128-C104-C107</f>
        <v>20052.3</v>
      </c>
      <c r="D102" s="97">
        <f>SUM(D103:D131)-D110-D114+D132-D127-D128-D104-D107</f>
        <v>2995.9</v>
      </c>
      <c r="E102" s="98">
        <f>D102/D134*100</f>
        <v>1.9178657461969486</v>
      </c>
      <c r="F102" s="98">
        <f>D102/B102*100</f>
        <v>50.566273397809155</v>
      </c>
      <c r="G102" s="98">
        <f t="shared" si="13"/>
        <v>14.940430773527227</v>
      </c>
      <c r="H102" s="98">
        <f>B102-D102</f>
        <v>2928.8000000000015</v>
      </c>
      <c r="I102" s="98">
        <f t="shared" si="14"/>
        <v>17056.399999999998</v>
      </c>
    </row>
    <row r="103" spans="1:9" ht="37.5">
      <c r="A103" s="36" t="s">
        <v>69</v>
      </c>
      <c r="B103" s="82">
        <v>819.5</v>
      </c>
      <c r="C103" s="78">
        <v>1869.9</v>
      </c>
      <c r="D103" s="83">
        <f>1.4+20.1+85.2</f>
        <v>106.7</v>
      </c>
      <c r="E103" s="6">
        <f>D103/D102*100</f>
        <v>3.561534096598685</v>
      </c>
      <c r="F103" s="6">
        <f t="shared" si="15"/>
        <v>13.020134228187919</v>
      </c>
      <c r="G103" s="6">
        <f t="shared" si="13"/>
        <v>5.7061874966575745</v>
      </c>
      <c r="H103" s="6">
        <f aca="true" t="shared" si="16" ref="H103:H132">B103-D103</f>
        <v>712.8</v>
      </c>
      <c r="I103" s="6">
        <f t="shared" si="14"/>
        <v>1763.2</v>
      </c>
    </row>
    <row r="104" spans="1:9" ht="18">
      <c r="A104" s="31" t="s">
        <v>33</v>
      </c>
      <c r="B104" s="85">
        <v>601.4</v>
      </c>
      <c r="C104" s="54">
        <f>1242.6+0.7</f>
        <v>1243.3</v>
      </c>
      <c r="D104" s="86">
        <f>1.4+85.2</f>
        <v>86.60000000000001</v>
      </c>
      <c r="E104" s="1"/>
      <c r="F104" s="1">
        <f t="shared" si="15"/>
        <v>14.399733954107086</v>
      </c>
      <c r="G104" s="1">
        <f t="shared" si="13"/>
        <v>6.965334191265182</v>
      </c>
      <c r="H104" s="1">
        <f t="shared" si="16"/>
        <v>514.8</v>
      </c>
      <c r="I104" s="1">
        <f t="shared" si="14"/>
        <v>1156.7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9.9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9.9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24.6</v>
      </c>
      <c r="C108" s="71">
        <v>75.5</v>
      </c>
      <c r="D108" s="83">
        <f>5.5+5.5</f>
        <v>11</v>
      </c>
      <c r="E108" s="6">
        <f>D108/D102*100</f>
        <v>0.3671684635668747</v>
      </c>
      <c r="F108" s="6">
        <f t="shared" si="15"/>
        <v>44.71544715447154</v>
      </c>
      <c r="G108" s="6">
        <f t="shared" si="13"/>
        <v>14.56953642384106</v>
      </c>
      <c r="H108" s="6">
        <f t="shared" si="16"/>
        <v>13.600000000000001</v>
      </c>
      <c r="I108" s="6">
        <f t="shared" si="14"/>
        <v>64.5</v>
      </c>
    </row>
    <row r="109" spans="1:9" ht="37.5">
      <c r="A109" s="19" t="s">
        <v>47</v>
      </c>
      <c r="B109" s="84">
        <v>372.4</v>
      </c>
      <c r="C109" s="71">
        <v>1050</v>
      </c>
      <c r="D109" s="83">
        <f>149.7+2.5+4.1+81.3</f>
        <v>237.59999999999997</v>
      </c>
      <c r="E109" s="6">
        <f>D109/D102*100</f>
        <v>7.930838813044493</v>
      </c>
      <c r="F109" s="6">
        <f t="shared" si="15"/>
        <v>63.80236305048334</v>
      </c>
      <c r="G109" s="6">
        <f t="shared" si="13"/>
        <v>22.628571428571426</v>
      </c>
      <c r="H109" s="6">
        <f t="shared" si="16"/>
        <v>134.8</v>
      </c>
      <c r="I109" s="6">
        <f t="shared" si="14"/>
        <v>812.4000000000001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107.9</v>
      </c>
      <c r="C112" s="71">
        <v>488.6</v>
      </c>
      <c r="D112" s="83">
        <v>4.9</v>
      </c>
      <c r="E112" s="6">
        <f>D112/D102*100</f>
        <v>0.163556861043426</v>
      </c>
      <c r="F112" s="6">
        <f>D112/B112*100</f>
        <v>4.541241890639481</v>
      </c>
      <c r="G112" s="6">
        <f aca="true" t="shared" si="17" ref="G112:G132">D112/C112*100</f>
        <v>1.002865329512894</v>
      </c>
      <c r="H112" s="6">
        <f t="shared" si="16"/>
        <v>103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64</v>
      </c>
      <c r="C113" s="63">
        <v>153.4</v>
      </c>
      <c r="D113" s="83">
        <f>13.5+13.4+14.3+0.8+6.9</f>
        <v>48.9</v>
      </c>
      <c r="E113" s="6">
        <f>D113/D102*100</f>
        <v>1.6322307153109248</v>
      </c>
      <c r="F113" s="6">
        <f t="shared" si="15"/>
        <v>76.40625</v>
      </c>
      <c r="G113" s="6">
        <f t="shared" si="17"/>
        <v>31.877444589308997</v>
      </c>
      <c r="H113" s="6">
        <f t="shared" si="16"/>
        <v>15.100000000000001</v>
      </c>
      <c r="I113" s="6">
        <f t="shared" si="14"/>
        <v>104.5</v>
      </c>
    </row>
    <row r="114" spans="1:9" s="41" customFormat="1" ht="18">
      <c r="A114" s="42" t="s">
        <v>54</v>
      </c>
      <c r="B114" s="85">
        <v>53.9</v>
      </c>
      <c r="C114" s="54">
        <v>121.2</v>
      </c>
      <c r="D114" s="86">
        <f>13.5+13.4+13.5</f>
        <v>40.4</v>
      </c>
      <c r="E114" s="1"/>
      <c r="F114" s="1">
        <f t="shared" si="15"/>
        <v>74.95361781076066</v>
      </c>
      <c r="G114" s="1">
        <f t="shared" si="17"/>
        <v>33.33333333333333</v>
      </c>
      <c r="H114" s="1">
        <f t="shared" si="16"/>
        <v>13.5</v>
      </c>
      <c r="I114" s="1">
        <f t="shared" si="14"/>
        <v>80.80000000000001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0.5407390099803064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1280.9</v>
      </c>
      <c r="C117" s="63">
        <v>1700.1</v>
      </c>
      <c r="D117" s="87">
        <f>196.6+25+11.8+12.7</f>
        <v>246.1</v>
      </c>
      <c r="E117" s="21">
        <f>D117/D102*100</f>
        <v>8.214559898527988</v>
      </c>
      <c r="F117" s="6">
        <f t="shared" si="15"/>
        <v>19.21305332188305</v>
      </c>
      <c r="G117" s="6">
        <f t="shared" si="17"/>
        <v>14.475619081230517</v>
      </c>
      <c r="H117" s="6">
        <f t="shared" si="16"/>
        <v>1034.8000000000002</v>
      </c>
      <c r="I117" s="6">
        <f t="shared" si="14"/>
        <v>1454</v>
      </c>
    </row>
    <row r="118" spans="1:9" s="2" customFormat="1" ht="56.25">
      <c r="A118" s="19" t="s">
        <v>56</v>
      </c>
      <c r="B118" s="84">
        <v>69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69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87.6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87.6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39.8</v>
      </c>
      <c r="C122" s="63">
        <v>178.8</v>
      </c>
      <c r="D122" s="87">
        <f>7.2</f>
        <v>7.2</v>
      </c>
      <c r="E122" s="21">
        <f>D122/D102*100</f>
        <v>0.24032844888013616</v>
      </c>
      <c r="F122" s="6">
        <f t="shared" si="15"/>
        <v>18.090452261306535</v>
      </c>
      <c r="G122" s="6">
        <f t="shared" si="17"/>
        <v>4.026845637583892</v>
      </c>
      <c r="H122" s="6">
        <f t="shared" si="16"/>
        <v>32.599999999999994</v>
      </c>
      <c r="I122" s="6">
        <f t="shared" si="14"/>
        <v>171.60000000000002</v>
      </c>
    </row>
    <row r="123" spans="1:9" s="2" customFormat="1" ht="35.25" customHeight="1">
      <c r="A123" s="19" t="s">
        <v>74</v>
      </c>
      <c r="B123" s="84">
        <v>11</v>
      </c>
      <c r="C123" s="63">
        <v>67.6</v>
      </c>
      <c r="D123" s="87">
        <f>0.5</f>
        <v>0.5</v>
      </c>
      <c r="E123" s="21">
        <f>D123/D102*100</f>
        <v>0.016689475616676122</v>
      </c>
      <c r="F123" s="6">
        <f t="shared" si="15"/>
        <v>4.545454545454546</v>
      </c>
      <c r="G123" s="6">
        <f t="shared" si="17"/>
        <v>0.7396449704142012</v>
      </c>
      <c r="H123" s="6">
        <f t="shared" si="16"/>
        <v>10.5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102</v>
      </c>
      <c r="B125" s="84">
        <v>50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50</v>
      </c>
      <c r="I125" s="6">
        <f t="shared" si="14"/>
        <v>115</v>
      </c>
    </row>
    <row r="126" spans="1:9" s="2" customFormat="1" ht="18.75">
      <c r="A126" s="19" t="s">
        <v>32</v>
      </c>
      <c r="B126" s="84">
        <v>291.3</v>
      </c>
      <c r="C126" s="63">
        <v>868.2</v>
      </c>
      <c r="D126" s="87">
        <f>21.4+1.2+34.6+22.6+3.4+31.2+5.1+22.6+3+44.8+0.2+32.7</f>
        <v>222.8</v>
      </c>
      <c r="E126" s="21">
        <f>D126/D102*100</f>
        <v>7.436830334790881</v>
      </c>
      <c r="F126" s="6">
        <f t="shared" si="15"/>
        <v>76.48472365259184</v>
      </c>
      <c r="G126" s="6">
        <f t="shared" si="17"/>
        <v>25.662289794978115</v>
      </c>
      <c r="H126" s="6">
        <f t="shared" si="16"/>
        <v>68.5</v>
      </c>
      <c r="I126" s="6">
        <f t="shared" si="14"/>
        <v>645.4000000000001</v>
      </c>
    </row>
    <row r="127" spans="1:9" s="41" customFormat="1" ht="18">
      <c r="A127" s="42" t="s">
        <v>54</v>
      </c>
      <c r="B127" s="85">
        <v>241.9</v>
      </c>
      <c r="C127" s="54">
        <v>747.1</v>
      </c>
      <c r="D127" s="86">
        <f>21.4+1.2+34.6+22.6+31.2+22.6+44.8+0.2+32.7</f>
        <v>211.3</v>
      </c>
      <c r="E127" s="1">
        <f>D127/D126*100</f>
        <v>94.83842010771993</v>
      </c>
      <c r="F127" s="1">
        <f>D127/B127*100</f>
        <v>87.35014468788755</v>
      </c>
      <c r="G127" s="1">
        <f t="shared" si="17"/>
        <v>28.28269307990898</v>
      </c>
      <c r="H127" s="1">
        <f t="shared" si="16"/>
        <v>30.599999999999994</v>
      </c>
      <c r="I127" s="1">
        <f t="shared" si="14"/>
        <v>535.8</v>
      </c>
    </row>
    <row r="128" spans="1:9" s="41" customFormat="1" ht="18">
      <c r="A128" s="31" t="s">
        <v>33</v>
      </c>
      <c r="B128" s="85">
        <v>15.3</v>
      </c>
      <c r="C128" s="54">
        <v>27.4</v>
      </c>
      <c r="D128" s="86">
        <f>3.4+3</f>
        <v>6.4</v>
      </c>
      <c r="E128" s="1">
        <f>D128/D126*100</f>
        <v>2.872531418312388</v>
      </c>
      <c r="F128" s="1">
        <f>D128/B128*100</f>
        <v>41.830065359477125</v>
      </c>
      <c r="G128" s="1">
        <f>D128/C128*100</f>
        <v>23.357664233576646</v>
      </c>
      <c r="H128" s="1">
        <f t="shared" si="16"/>
        <v>8.9</v>
      </c>
      <c r="I128" s="1">
        <f t="shared" si="14"/>
        <v>21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69.89552388263961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106</v>
      </c>
      <c r="B130" s="84">
        <v>475.8</v>
      </c>
      <c r="C130" s="63">
        <v>475.8</v>
      </c>
      <c r="D130" s="87"/>
      <c r="E130" s="21">
        <f>D130/D102*100</f>
        <v>0</v>
      </c>
      <c r="F130" s="120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8699.2</v>
      </c>
      <c r="C133" s="88">
        <f>C41+C66+C69+C74+C76+C84+C98+C102+C96+C81+C94</f>
        <v>27282.4</v>
      </c>
      <c r="D133" s="63">
        <f>D41+D66+D69+D74+D76+D84+D98+D102+D96+D81+D94</f>
        <v>4595.6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233182.69999999998</v>
      </c>
      <c r="C134" s="57">
        <f>C6+C17+C31+C41+C49+C56+C66+C69+C74+C76+C84+C87+C92+C98+C102+C96+C81+C94+C43</f>
        <v>627326.8</v>
      </c>
      <c r="D134" s="57">
        <f>D6+D17+D31+D41+D49+D56+D66+D69+D74+D76+D84+D87+D92+D98+D102+D96+D81+D94+D43</f>
        <v>156210.10000000003</v>
      </c>
      <c r="E134" s="40">
        <v>100</v>
      </c>
      <c r="F134" s="3">
        <f>D134/B134*100</f>
        <v>66.99043282370435</v>
      </c>
      <c r="G134" s="3">
        <f aca="true" t="shared" si="18" ref="G134:G140">D134/C134*100</f>
        <v>24.90091288942223</v>
      </c>
      <c r="H134" s="3">
        <f aca="true" t="shared" si="19" ref="H134:H140">B134-D134</f>
        <v>76972.59999999995</v>
      </c>
      <c r="I134" s="3">
        <f aca="true" t="shared" si="20" ref="I134:I140">C134-D134</f>
        <v>471116.7</v>
      </c>
      <c r="K134" s="49"/>
      <c r="L134" s="50"/>
    </row>
    <row r="135" spans="1:12" ht="18.75">
      <c r="A135" s="25" t="s">
        <v>5</v>
      </c>
      <c r="B135" s="70">
        <f>B7+B18+B32+B50+B57+B88+B110+B114+B44+B127</f>
        <v>152282.19999999998</v>
      </c>
      <c r="C135" s="70">
        <f>C7+C18+C32+C50+C57+C88+C110+C114+C44+C127</f>
        <v>437725.39999999997</v>
      </c>
      <c r="D135" s="70">
        <f>D7+D18+D32+D50+D57+D88+D110+D114+D44+D127</f>
        <v>115455.6</v>
      </c>
      <c r="E135" s="6">
        <f>D135/D134*100</f>
        <v>73.91045777449729</v>
      </c>
      <c r="F135" s="6">
        <f aca="true" t="shared" si="21" ref="F135:F146">D135/B135*100</f>
        <v>75.81687157133271</v>
      </c>
      <c r="G135" s="6">
        <f t="shared" si="18"/>
        <v>26.376262378194188</v>
      </c>
      <c r="H135" s="6">
        <f t="shared" si="19"/>
        <v>36826.59999999998</v>
      </c>
      <c r="I135" s="20">
        <f t="shared" si="20"/>
        <v>322269.79999999993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35817.4</v>
      </c>
      <c r="C136" s="71">
        <f>C10+C21+C34+C53+C59+C89+C47+C128+C104+C107</f>
        <v>64854.40000000001</v>
      </c>
      <c r="D136" s="71">
        <f>D10+D21+D34+D53+D59+D89+D47+D128+D104+D107</f>
        <v>11498.9</v>
      </c>
      <c r="E136" s="6">
        <f>D136/D134*100</f>
        <v>7.361175749839477</v>
      </c>
      <c r="F136" s="6">
        <f t="shared" si="21"/>
        <v>32.104228670981136</v>
      </c>
      <c r="G136" s="6">
        <f t="shared" si="18"/>
        <v>17.730331326787386</v>
      </c>
      <c r="H136" s="6">
        <f t="shared" si="19"/>
        <v>24318.5</v>
      </c>
      <c r="I136" s="20">
        <f t="shared" si="20"/>
        <v>53355.50000000001</v>
      </c>
      <c r="K136" s="49"/>
      <c r="L136" s="106"/>
    </row>
    <row r="137" spans="1:12" ht="18.75">
      <c r="A137" s="25" t="s">
        <v>1</v>
      </c>
      <c r="B137" s="70">
        <f>B20+B9+B52+B46+B58+B33+B99</f>
        <v>7740.6</v>
      </c>
      <c r="C137" s="70">
        <f>C20+C9+C52+C46+C58+C33+C99</f>
        <v>20323.899999999998</v>
      </c>
      <c r="D137" s="70">
        <f>D20+D9+D52+D46+D58+D33+D99</f>
        <v>5198.700000000001</v>
      </c>
      <c r="E137" s="6">
        <f>D137/D134*100</f>
        <v>3.3280178426362954</v>
      </c>
      <c r="F137" s="6">
        <f t="shared" si="21"/>
        <v>67.1614603519107</v>
      </c>
      <c r="G137" s="6">
        <f t="shared" si="18"/>
        <v>25.57924414113434</v>
      </c>
      <c r="H137" s="6">
        <f t="shared" si="19"/>
        <v>2541.8999999999996</v>
      </c>
      <c r="I137" s="20">
        <f t="shared" si="20"/>
        <v>15125.199999999997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2495.8</v>
      </c>
      <c r="C138" s="70">
        <f>C11+C22+C100+C60+C36+C90</f>
        <v>7145.6</v>
      </c>
      <c r="D138" s="70">
        <f>D11+D22+D100+D60+D36+D90</f>
        <v>1783.4000000000003</v>
      </c>
      <c r="E138" s="6">
        <f>D138/D134*100</f>
        <v>1.1416675362220496</v>
      </c>
      <c r="F138" s="6">
        <f t="shared" si="21"/>
        <v>71.45604615754468</v>
      </c>
      <c r="G138" s="6">
        <f t="shared" si="18"/>
        <v>24.95801612180923</v>
      </c>
      <c r="H138" s="6">
        <f t="shared" si="19"/>
        <v>712.3999999999999</v>
      </c>
      <c r="I138" s="20">
        <f t="shared" si="20"/>
        <v>5362.2</v>
      </c>
      <c r="K138" s="49"/>
      <c r="L138" s="106"/>
    </row>
    <row r="139" spans="1:12" ht="18.75">
      <c r="A139" s="25" t="s">
        <v>2</v>
      </c>
      <c r="B139" s="70">
        <f>B8+B19+B45+B51</f>
        <v>2686.9</v>
      </c>
      <c r="C139" s="70">
        <f>C8+C19+C45+C51</f>
        <v>7615.1</v>
      </c>
      <c r="D139" s="70">
        <f>D8+D19+D45+D51</f>
        <v>1441.7</v>
      </c>
      <c r="E139" s="6">
        <f>D139/D134*100</f>
        <v>0.9229236777903604</v>
      </c>
      <c r="F139" s="6">
        <f t="shared" si="21"/>
        <v>53.656630317466224</v>
      </c>
      <c r="G139" s="6">
        <f t="shared" si="18"/>
        <v>18.932121705558693</v>
      </c>
      <c r="H139" s="6">
        <f t="shared" si="19"/>
        <v>1245.2</v>
      </c>
      <c r="I139" s="20">
        <f t="shared" si="20"/>
        <v>6173.400000000001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32159.799999999996</v>
      </c>
      <c r="C140" s="70">
        <f>C134-C135-C136-C137-C138-C139</f>
        <v>89662.40000000007</v>
      </c>
      <c r="D140" s="70">
        <f>D134-D135-D136-D137-D138-D139</f>
        <v>20831.800000000025</v>
      </c>
      <c r="E140" s="6">
        <f>D140/D134*100</f>
        <v>13.335757419014532</v>
      </c>
      <c r="F140" s="6">
        <f t="shared" si="21"/>
        <v>64.77590034763907</v>
      </c>
      <c r="G140" s="46">
        <f t="shared" si="18"/>
        <v>23.23359624547191</v>
      </c>
      <c r="H140" s="6">
        <f t="shared" si="19"/>
        <v>11327.99999999997</v>
      </c>
      <c r="I140" s="6">
        <f t="shared" si="20"/>
        <v>68830.60000000003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f>12701.5</f>
        <v>12701.5</v>
      </c>
      <c r="C144" s="70">
        <v>29762.7</v>
      </c>
      <c r="D144" s="70">
        <f>6096.5+112.1+30.9+1603.7+825.7-185.6</f>
        <v>8483.3</v>
      </c>
      <c r="E144" s="6"/>
      <c r="F144" s="6">
        <f t="shared" si="21"/>
        <v>66.78974924221548</v>
      </c>
      <c r="G144" s="6">
        <f t="shared" si="22"/>
        <v>28.503126396462687</v>
      </c>
      <c r="H144" s="6">
        <f t="shared" si="24"/>
        <v>4218.200000000001</v>
      </c>
      <c r="I144" s="6">
        <f t="shared" si="23"/>
        <v>21279.4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2527.9</v>
      </c>
      <c r="C146" s="70">
        <v>8750.7</v>
      </c>
      <c r="D146" s="70">
        <f>1079.6+99+23+18.9+98+142.5+46.8+99.4</f>
        <v>1607.2</v>
      </c>
      <c r="E146" s="21"/>
      <c r="F146" s="6">
        <f t="shared" si="21"/>
        <v>63.57846433798805</v>
      </c>
      <c r="G146" s="6">
        <f t="shared" si="22"/>
        <v>18.366530677545796</v>
      </c>
      <c r="H146" s="6">
        <f t="shared" si="24"/>
        <v>920.7</v>
      </c>
      <c r="I146" s="6">
        <f t="shared" si="23"/>
        <v>7143.500000000001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371</v>
      </c>
      <c r="C148" s="70">
        <v>790</v>
      </c>
      <c r="D148" s="70">
        <v>371</v>
      </c>
      <c r="E148" s="21"/>
      <c r="F148" s="6">
        <f>D148/B148*100</f>
        <v>100</v>
      </c>
      <c r="G148" s="6">
        <f t="shared" si="22"/>
        <v>46.962025316455694</v>
      </c>
      <c r="H148" s="6">
        <f t="shared" si="24"/>
        <v>0</v>
      </c>
      <c r="I148" s="6">
        <f t="shared" si="23"/>
        <v>419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1132.6</v>
      </c>
      <c r="C150" s="93">
        <v>3939.6</v>
      </c>
      <c r="D150" s="93">
        <f>95.1</f>
        <v>95.1</v>
      </c>
      <c r="E150" s="26"/>
      <c r="F150" s="6">
        <f>D150/B150*100</f>
        <v>8.396609570898816</v>
      </c>
      <c r="G150" s="6">
        <f t="shared" si="22"/>
        <v>2.413950654888821</v>
      </c>
      <c r="H150" s="6">
        <f t="shared" si="24"/>
        <v>1037.5</v>
      </c>
      <c r="I150" s="6">
        <f t="shared" si="23"/>
        <v>3844.5</v>
      </c>
    </row>
    <row r="151" spans="1:9" ht="19.5" thickBot="1">
      <c r="A151" s="15" t="s">
        <v>20</v>
      </c>
      <c r="B151" s="94">
        <f>B134+B142+B146+B147+B143+B150+B149+B144+B148+B145</f>
        <v>251795.69999999998</v>
      </c>
      <c r="C151" s="94">
        <f>C134+C142+C146+C147+C143+C150+C149+C144+C148+C145</f>
        <v>672479.7999999999</v>
      </c>
      <c r="D151" s="94">
        <f>D134+D142+D146+D147+D143+D150+D149+D144+D148+D145</f>
        <v>168646.70000000004</v>
      </c>
      <c r="E151" s="27"/>
      <c r="F151" s="3">
        <f>D151/B151*100</f>
        <v>66.97759334253924</v>
      </c>
      <c r="G151" s="3">
        <f t="shared" si="22"/>
        <v>25.078329490343066</v>
      </c>
      <c r="H151" s="3">
        <f>B151-D151</f>
        <v>83148.99999999994</v>
      </c>
      <c r="I151" s="3">
        <f t="shared" si="23"/>
        <v>503833.09999999986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5" sqref="R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156210.10000000003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156210.10000000003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2014-03-31T13:04:16Z</cp:lastPrinted>
  <dcterms:created xsi:type="dcterms:W3CDTF">2000-06-20T04:48:00Z</dcterms:created>
  <dcterms:modified xsi:type="dcterms:W3CDTF">2014-04-15T05:04:06Z</dcterms:modified>
  <cp:category/>
  <cp:version/>
  <cp:contentType/>
  <cp:contentStatus/>
</cp:coreProperties>
</file>